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13_ncr:1_{57BC279A-6D45-4AF4-B91A-22032428E160}" xr6:coauthVersionLast="47" xr6:coauthVersionMax="47" xr10:uidLastSave="{00000000-0000-0000-0000-000000000000}"/>
  <bookViews>
    <workbookView xWindow="-98" yWindow="-98" windowWidth="23236" windowHeight="13875" activeTab="1" xr2:uid="{00000000-000D-0000-FFFF-FFFF00000000}"/>
  </bookViews>
  <sheets>
    <sheet name="4边形 " sheetId="9" r:id="rId1"/>
    <sheet name="5边形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9" l="1"/>
  <c r="K15" i="9"/>
  <c r="G10" i="9"/>
  <c r="E17" i="9"/>
  <c r="D13" i="9"/>
  <c r="D11" i="9"/>
  <c r="D9" i="9"/>
  <c r="D7" i="9"/>
  <c r="D31" i="9"/>
  <c r="D32" i="9" s="1"/>
  <c r="E8" i="9" s="1"/>
  <c r="D30" i="9"/>
  <c r="C20" i="9"/>
  <c r="F17" i="9"/>
  <c r="C17" i="9"/>
  <c r="B15" i="9"/>
  <c r="M13" i="9"/>
  <c r="M11" i="9"/>
  <c r="M9" i="9"/>
  <c r="M7" i="9"/>
  <c r="M15" i="9" s="1"/>
  <c r="D33" i="8"/>
  <c r="D32" i="8"/>
  <c r="D34" i="8" s="1"/>
  <c r="E8" i="8" s="1"/>
  <c r="C22" i="8"/>
  <c r="F19" i="8"/>
  <c r="C19" i="8"/>
  <c r="B17" i="8"/>
  <c r="M15" i="8"/>
  <c r="M13" i="8"/>
  <c r="M11" i="8"/>
  <c r="M9" i="8"/>
  <c r="M7" i="8"/>
  <c r="M17" i="8" s="1"/>
  <c r="E10" i="9" l="1"/>
  <c r="H8" i="9"/>
  <c r="G8" i="9"/>
  <c r="D17" i="9"/>
  <c r="D9" i="8"/>
  <c r="E10" i="8" s="1"/>
  <c r="D7" i="8"/>
  <c r="D15" i="8"/>
  <c r="D13" i="8"/>
  <c r="D11" i="8"/>
  <c r="H10" i="9" l="1"/>
  <c r="E12" i="9"/>
  <c r="E12" i="8"/>
  <c r="E14" i="8" s="1"/>
  <c r="E16" i="8" s="1"/>
  <c r="E19" i="8" s="1"/>
  <c r="D19" i="8"/>
  <c r="E14" i="9" l="1"/>
  <c r="H12" i="9"/>
  <c r="G12" i="9"/>
  <c r="G8" i="8"/>
  <c r="H8" i="8"/>
  <c r="H14" i="9" l="1"/>
  <c r="G14" i="9"/>
  <c r="H10" i="8"/>
  <c r="G10" i="8"/>
  <c r="G17" i="9" l="1"/>
  <c r="H17" i="9"/>
  <c r="H12" i="8"/>
  <c r="G12" i="8"/>
  <c r="J10" i="9" l="1"/>
  <c r="J14" i="9"/>
  <c r="J8" i="9"/>
  <c r="J12" i="9"/>
  <c r="G22" i="9"/>
  <c r="G23" i="9" s="1"/>
  <c r="G21" i="9"/>
  <c r="I10" i="9"/>
  <c r="I14" i="9"/>
  <c r="I8" i="9"/>
  <c r="I12" i="9"/>
  <c r="G16" i="8"/>
  <c r="H16" i="8"/>
  <c r="G14" i="8"/>
  <c r="H14" i="8"/>
  <c r="I17" i="9" l="1"/>
  <c r="K9" i="9"/>
  <c r="K11" i="9" s="1"/>
  <c r="K13" i="9" s="1"/>
  <c r="J17" i="9"/>
  <c r="L9" i="9"/>
  <c r="L11" i="9" s="1"/>
  <c r="L13" i="9" s="1"/>
  <c r="H19" i="8"/>
  <c r="J14" i="8" s="1"/>
  <c r="G19" i="8"/>
  <c r="I14" i="8" s="1"/>
  <c r="I12" i="8" l="1"/>
  <c r="I8" i="8"/>
  <c r="K9" i="8" s="1"/>
  <c r="I10" i="8"/>
  <c r="I16" i="8"/>
  <c r="G24" i="8"/>
  <c r="G25" i="8" s="1"/>
  <c r="G23" i="8"/>
  <c r="J16" i="8"/>
  <c r="J8" i="8"/>
  <c r="L9" i="8" s="1"/>
  <c r="J10" i="8"/>
  <c r="J12" i="8"/>
  <c r="L11" i="8" l="1"/>
  <c r="L13" i="8" s="1"/>
  <c r="L15" i="8" s="1"/>
  <c r="L17" i="8" s="1"/>
  <c r="K11" i="8"/>
  <c r="I19" i="8"/>
  <c r="J19" i="8"/>
  <c r="K13" i="8"/>
  <c r="K15" i="8" s="1"/>
  <c r="K17" i="8" s="1"/>
</calcChain>
</file>

<file path=xl/sharedStrings.xml><?xml version="1.0" encoding="utf-8"?>
<sst xmlns="http://schemas.openxmlformats.org/spreadsheetml/2006/main" count="91" uniqueCount="44">
  <si>
    <t>点号</t>
    <phoneticPr fontId="1" type="noConversion"/>
  </si>
  <si>
    <t>改正后角度</t>
    <phoneticPr fontId="1" type="noConversion"/>
  </si>
  <si>
    <t>坐标方位角</t>
    <phoneticPr fontId="1" type="noConversion"/>
  </si>
  <si>
    <t>两点间距离</t>
    <phoneticPr fontId="1" type="noConversion"/>
  </si>
  <si>
    <t>坐标增量</t>
    <phoneticPr fontId="1" type="noConversion"/>
  </si>
  <si>
    <t>△x</t>
    <phoneticPr fontId="1" type="noConversion"/>
  </si>
  <si>
    <t>△y</t>
    <phoneticPr fontId="1" type="noConversion"/>
  </si>
  <si>
    <t>修正后坐标增量</t>
    <phoneticPr fontId="1" type="noConversion"/>
  </si>
  <si>
    <t>Σ</t>
    <phoneticPr fontId="1" type="noConversion"/>
  </si>
  <si>
    <t>观测角度</t>
    <phoneticPr fontId="1" type="noConversion"/>
  </si>
  <si>
    <t>度：分：秒</t>
    <phoneticPr fontId="1" type="noConversion"/>
  </si>
  <si>
    <t>度：分：秒：</t>
    <phoneticPr fontId="1" type="noConversion"/>
  </si>
  <si>
    <t>K=</t>
    <phoneticPr fontId="1" type="noConversion"/>
  </si>
  <si>
    <t>度：分：秒</t>
    <phoneticPr fontId="1" type="noConversion"/>
  </si>
  <si>
    <t>K=</t>
    <phoneticPr fontId="1" type="noConversion"/>
  </si>
  <si>
    <t>导线全长闭合差=</t>
    <phoneticPr fontId="1" type="noConversion"/>
  </si>
  <si>
    <t>相对误差自动计算</t>
    <phoneticPr fontId="1" type="noConversion"/>
  </si>
  <si>
    <t>内角理论值</t>
    <phoneticPr fontId="1" type="noConversion"/>
  </si>
  <si>
    <t>度分秒的输入，度分秒数字间用“:”分割。如45:30:28</t>
    <phoneticPr fontId="1" type="noConversion"/>
  </si>
  <si>
    <t>导线全长相对闭合差 1/K=</t>
    <phoneticPr fontId="1" type="noConversion"/>
  </si>
  <si>
    <t>pt2</t>
    <phoneticPr fontId="1" type="noConversion"/>
  </si>
  <si>
    <t>pt3</t>
    <phoneticPr fontId="1" type="noConversion"/>
  </si>
  <si>
    <t>1点为多边形的已知点</t>
  </si>
  <si>
    <t>pt1</t>
    <phoneticPr fontId="1" type="noConversion"/>
  </si>
  <si>
    <t>pt4</t>
    <phoneticPr fontId="1" type="noConversion"/>
  </si>
  <si>
    <t>pt5</t>
    <phoneticPr fontId="1" type="noConversion"/>
  </si>
  <si>
    <t>N(x坐标)</t>
    <phoneticPr fontId="1" type="noConversion"/>
  </si>
  <si>
    <t>E(y坐标)</t>
    <phoneticPr fontId="1" type="noConversion"/>
  </si>
  <si>
    <t>所测定的连接角:</t>
    <phoneticPr fontId="1" type="noConversion"/>
  </si>
  <si>
    <t>pt1-pt2边的坐标方位角</t>
    <phoneticPr fontId="1" type="noConversion"/>
  </si>
  <si>
    <t>0点为多边形以外的已知点</t>
    <phoneticPr fontId="1" type="noConversion"/>
  </si>
  <si>
    <t>坐标反算方位角</t>
    <phoneticPr fontId="1" type="noConversion"/>
  </si>
  <si>
    <t>填入所测定的连接角∠012</t>
    <phoneticPr fontId="1" type="noConversion"/>
  </si>
  <si>
    <t>N (pt0)</t>
    <phoneticPr fontId="1" type="noConversion"/>
  </si>
  <si>
    <t xml:space="preserve"> E (pt0)</t>
    <phoneticPr fontId="1" type="noConversion"/>
  </si>
  <si>
    <t>E (pt1)</t>
    <phoneticPr fontId="1" type="noConversion"/>
  </si>
  <si>
    <t>N (pt1)</t>
    <phoneticPr fontId="1" type="noConversion"/>
  </si>
  <si>
    <t>备注</t>
    <phoneticPr fontId="1" type="noConversion"/>
  </si>
  <si>
    <t>K值越大越好，至少应大于3000</t>
    <phoneticPr fontId="1" type="noConversion"/>
  </si>
  <si>
    <t>白色单元格是计算结果</t>
    <phoneticPr fontId="1" type="noConversion"/>
  </si>
  <si>
    <t>黄色单元格需填入数据，用于计算</t>
    <phoneticPr fontId="1" type="noConversion"/>
  </si>
  <si>
    <t>蓝色单元格数据用于计算检核</t>
    <phoneticPr fontId="1" type="noConversion"/>
  </si>
  <si>
    <t>棕色的单元格数据是闭合差检验的数据</t>
    <phoneticPr fontId="1" type="noConversion"/>
  </si>
  <si>
    <t>填写表格前须仔细阅读此填表说明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</si>
</sst>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hh]&quot;°&quot;mm&quot;′&quot;ss&quot;″&quot;"/>
    <numFmt numFmtId="177" formatCode="0.000_ "/>
    <numFmt numFmtId="178" formatCode="0.000000_);[Red]\(0.000000\)"/>
    <numFmt numFmtId="179" formatCode="0.000_);[Red]\(0.000\)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b/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1" xfId="0" applyFill="1" applyBorder="1"/>
    <xf numFmtId="46" fontId="0" fillId="0" borderId="0" xfId="0" applyNumberFormat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178" fontId="0" fillId="0" borderId="0" xfId="0" applyNumberFormat="1"/>
    <xf numFmtId="179" fontId="0" fillId="2" borderId="1" xfId="0" applyNumberFormat="1" applyFill="1" applyBorder="1"/>
    <xf numFmtId="0" fontId="0" fillId="3" borderId="1" xfId="0" applyFill="1" applyBorder="1"/>
    <xf numFmtId="176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right"/>
    </xf>
    <xf numFmtId="0" fontId="0" fillId="0" borderId="1" xfId="0" applyBorder="1"/>
    <xf numFmtId="0" fontId="0" fillId="6" borderId="7" xfId="0" applyFill="1" applyBorder="1"/>
    <xf numFmtId="0" fontId="0" fillId="6" borderId="0" xfId="0" applyFill="1"/>
    <xf numFmtId="0" fontId="0" fillId="6" borderId="8" xfId="0" applyFill="1" applyBorder="1"/>
    <xf numFmtId="0" fontId="0" fillId="6" borderId="9" xfId="0" applyFill="1" applyBorder="1"/>
    <xf numFmtId="0" fontId="0" fillId="0" borderId="21" xfId="0" applyBorder="1"/>
    <xf numFmtId="0" fontId="2" fillId="0" borderId="19" xfId="0" applyFon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0" fillId="4" borderId="20" xfId="0" applyNumberFormat="1" applyFill="1" applyBorder="1" applyAlignment="1">
      <alignment horizontal="center" vertical="center"/>
    </xf>
    <xf numFmtId="0" fontId="0" fillId="2" borderId="20" xfId="0" applyFill="1" applyBorder="1"/>
    <xf numFmtId="0" fontId="0" fillId="7" borderId="10" xfId="0" applyFill="1" applyBorder="1"/>
    <xf numFmtId="0" fontId="5" fillId="0" borderId="8" xfId="0" applyFont="1" applyBorder="1" applyAlignment="1">
      <alignment horizontal="center" vertical="center"/>
    </xf>
    <xf numFmtId="176" fontId="0" fillId="3" borderId="21" xfId="0" applyNumberFormat="1" applyFill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0" fillId="0" borderId="18" xfId="0" applyBorder="1"/>
    <xf numFmtId="0" fontId="5" fillId="0" borderId="20" xfId="0" applyFont="1" applyBorder="1" applyAlignment="1">
      <alignment horizontal="center"/>
    </xf>
    <xf numFmtId="179" fontId="0" fillId="0" borderId="18" xfId="0" applyNumberFormat="1" applyBorder="1"/>
    <xf numFmtId="179" fontId="0" fillId="0" borderId="21" xfId="0" applyNumberFormat="1" applyBorder="1"/>
    <xf numFmtId="0" fontId="0" fillId="7" borderId="7" xfId="0" applyFill="1" applyBorder="1" applyAlignment="1">
      <alignment horizontal="center" vertical="center"/>
    </xf>
    <xf numFmtId="0" fontId="0" fillId="4" borderId="1" xfId="0" applyFill="1" applyBorder="1"/>
    <xf numFmtId="0" fontId="0" fillId="8" borderId="1" xfId="0" applyFill="1" applyBorder="1"/>
    <xf numFmtId="176" fontId="0" fillId="8" borderId="20" xfId="0" applyNumberFormat="1" applyFill="1" applyBorder="1" applyAlignment="1">
      <alignment horizontal="center" vertical="center"/>
    </xf>
    <xf numFmtId="0" fontId="0" fillId="5" borderId="17" xfId="0" applyFill="1" applyBorder="1"/>
    <xf numFmtId="0" fontId="0" fillId="5" borderId="18" xfId="0" applyFill="1" applyBorder="1"/>
    <xf numFmtId="0" fontId="0" fillId="8" borderId="12" xfId="0" applyFill="1" applyBorder="1"/>
    <xf numFmtId="0" fontId="5" fillId="5" borderId="20" xfId="0" applyFont="1" applyFill="1" applyBorder="1" applyAlignment="1">
      <alignment vertical="top" wrapText="1"/>
    </xf>
    <xf numFmtId="0" fontId="5" fillId="5" borderId="21" xfId="0" applyFont="1" applyFill="1" applyBorder="1" applyAlignment="1">
      <alignment vertical="top" wrapText="1"/>
    </xf>
    <xf numFmtId="0" fontId="0" fillId="9" borderId="17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177" fontId="0" fillId="2" borderId="1" xfId="0" applyNumberFormat="1" applyFill="1" applyBorder="1"/>
    <xf numFmtId="177" fontId="0" fillId="0" borderId="20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176" fontId="0" fillId="9" borderId="12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176" fontId="0" fillId="9" borderId="24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179" fontId="0" fillId="0" borderId="2" xfId="0" applyNumberFormat="1" applyBorder="1" applyAlignment="1">
      <alignment horizontal="center"/>
    </xf>
    <xf numFmtId="179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0" borderId="2" xfId="0" applyNumberFormat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6" fontId="0" fillId="3" borderId="2" xfId="0" applyNumberFormat="1" applyFill="1" applyBorder="1" applyAlignment="1">
      <alignment horizontal="center"/>
    </xf>
    <xf numFmtId="176" fontId="0" fillId="3" borderId="3" xfId="0" applyNumberFormat="1" applyFill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9" borderId="17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/>
    </xf>
    <xf numFmtId="179" fontId="0" fillId="3" borderId="2" xfId="0" applyNumberFormat="1" applyFill="1" applyBorder="1" applyAlignment="1">
      <alignment horizontal="center"/>
    </xf>
    <xf numFmtId="179" fontId="0" fillId="3" borderId="3" xfId="0" applyNumberFormat="1" applyFill="1" applyBorder="1" applyAlignment="1">
      <alignment horizontal="center"/>
    </xf>
    <xf numFmtId="0" fontId="6" fillId="5" borderId="16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0" xfId="0" applyFont="1" applyFill="1" applyBorder="1" applyAlignment="1">
      <alignment horizontal="left" vertical="center" wrapText="1"/>
    </xf>
    <xf numFmtId="0" fontId="0" fillId="9" borderId="16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9" fontId="0" fillId="4" borderId="2" xfId="0" applyNumberFormat="1" applyFill="1" applyBorder="1" applyAlignment="1">
      <alignment horizontal="center"/>
    </xf>
    <xf numFmtId="179" fontId="0" fillId="4" borderId="3" xfId="0" applyNumberFormat="1" applyFill="1" applyBorder="1" applyAlignment="1">
      <alignment horizontal="center"/>
    </xf>
    <xf numFmtId="0" fontId="0" fillId="7" borderId="11" xfId="0" applyFill="1" applyBorder="1" applyAlignment="1">
      <alignment horizontal="center" vertical="center"/>
    </xf>
    <xf numFmtId="176" fontId="0" fillId="7" borderId="12" xfId="0" applyNumberFormat="1" applyFill="1" applyBorder="1" applyAlignment="1">
      <alignment horizontal="center" vertical="center"/>
    </xf>
    <xf numFmtId="176" fontId="0" fillId="7" borderId="24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36776-1413-41BF-8111-69381BD09765}">
  <dimension ref="A1:M34"/>
  <sheetViews>
    <sheetView zoomScale="85" zoomScaleNormal="85" workbookViewId="0">
      <selection activeCell="J3" sqref="J3"/>
    </sheetView>
  </sheetViews>
  <sheetFormatPr defaultRowHeight="13.9" x14ac:dyDescent="0.4"/>
  <cols>
    <col min="1" max="1" width="10.59765625" customWidth="1"/>
    <col min="2" max="2" width="16.86328125" customWidth="1"/>
    <col min="3" max="3" width="22.1328125" customWidth="1"/>
    <col min="4" max="4" width="16.796875" customWidth="1"/>
    <col min="5" max="5" width="16.73046875" customWidth="1"/>
    <col min="6" max="6" width="16.19921875" customWidth="1"/>
    <col min="7" max="7" width="17.796875" customWidth="1"/>
    <col min="8" max="8" width="15.19921875" customWidth="1"/>
    <col min="9" max="9" width="14.19921875" customWidth="1"/>
    <col min="10" max="10" width="15" customWidth="1"/>
    <col min="11" max="11" width="13" customWidth="1"/>
    <col min="12" max="12" width="12.86328125" customWidth="1"/>
    <col min="13" max="13" width="13" customWidth="1"/>
    <col min="14" max="14" width="10.86328125" bestFit="1" customWidth="1"/>
  </cols>
  <sheetData>
    <row r="1" spans="2:13" ht="31.5" customHeight="1" x14ac:dyDescent="0.4">
      <c r="B1" s="88" t="s">
        <v>43</v>
      </c>
      <c r="C1" s="91" t="s">
        <v>18</v>
      </c>
      <c r="D1" s="34"/>
      <c r="E1" s="34"/>
      <c r="F1" s="34"/>
      <c r="G1" s="35"/>
    </row>
    <row r="2" spans="2:13" ht="20.65" customHeight="1" x14ac:dyDescent="0.4">
      <c r="B2" s="89"/>
      <c r="C2" s="92"/>
      <c r="D2" s="7"/>
      <c r="E2" s="10"/>
      <c r="F2" s="31"/>
      <c r="G2" s="36"/>
    </row>
    <row r="3" spans="2:13" ht="44.65" customHeight="1" thickBot="1" x14ac:dyDescent="0.45">
      <c r="B3" s="90"/>
      <c r="C3" s="93"/>
      <c r="D3" s="37" t="s">
        <v>40</v>
      </c>
      <c r="E3" s="37" t="s">
        <v>39</v>
      </c>
      <c r="F3" s="37" t="s">
        <v>41</v>
      </c>
      <c r="G3" s="38" t="s">
        <v>42</v>
      </c>
    </row>
    <row r="4" spans="2:13" ht="28.5" customHeight="1" thickBot="1" x14ac:dyDescent="0.45"/>
    <row r="5" spans="2:13" x14ac:dyDescent="0.4">
      <c r="B5" s="94" t="s">
        <v>0</v>
      </c>
      <c r="C5" s="39" t="s">
        <v>9</v>
      </c>
      <c r="D5" s="39" t="s">
        <v>1</v>
      </c>
      <c r="E5" s="39" t="s">
        <v>2</v>
      </c>
      <c r="F5" s="81" t="s">
        <v>3</v>
      </c>
      <c r="G5" s="81" t="s">
        <v>4</v>
      </c>
      <c r="H5" s="81"/>
      <c r="I5" s="81" t="s">
        <v>7</v>
      </c>
      <c r="J5" s="81"/>
      <c r="K5" s="81" t="s">
        <v>26</v>
      </c>
      <c r="L5" s="81" t="s">
        <v>27</v>
      </c>
      <c r="M5" s="83" t="s">
        <v>0</v>
      </c>
    </row>
    <row r="6" spans="2:13" x14ac:dyDescent="0.4">
      <c r="B6" s="59"/>
      <c r="C6" s="40" t="s">
        <v>11</v>
      </c>
      <c r="D6" s="40" t="s">
        <v>10</v>
      </c>
      <c r="E6" s="40" t="s">
        <v>10</v>
      </c>
      <c r="F6" s="82"/>
      <c r="G6" s="40" t="s">
        <v>5</v>
      </c>
      <c r="H6" s="40" t="s">
        <v>6</v>
      </c>
      <c r="I6" s="40" t="s">
        <v>5</v>
      </c>
      <c r="J6" s="40" t="s">
        <v>6</v>
      </c>
      <c r="K6" s="82"/>
      <c r="L6" s="82"/>
      <c r="M6" s="84"/>
    </row>
    <row r="7" spans="2:13" x14ac:dyDescent="0.4">
      <c r="B7" s="66" t="s">
        <v>23</v>
      </c>
      <c r="C7" s="85">
        <v>3.4874305555555556</v>
      </c>
      <c r="D7" s="77">
        <f>C7+($C$20-$C$17)/4</f>
        <v>2.7525173611111113</v>
      </c>
      <c r="E7" s="1"/>
      <c r="F7" s="1"/>
      <c r="G7" s="6"/>
      <c r="H7" s="6"/>
      <c r="I7" s="6"/>
      <c r="J7" s="6"/>
      <c r="K7" s="86">
        <v>3640110.139</v>
      </c>
      <c r="L7" s="86">
        <v>540052.97199999995</v>
      </c>
      <c r="M7" s="70" t="str">
        <f>B7</f>
        <v>pt1</v>
      </c>
    </row>
    <row r="8" spans="2:13" x14ac:dyDescent="0.4">
      <c r="B8" s="67"/>
      <c r="C8" s="85"/>
      <c r="D8" s="77"/>
      <c r="E8" s="77">
        <f>D32</f>
        <v>8.2311666363697693</v>
      </c>
      <c r="F8" s="80">
        <v>25.367000000000001</v>
      </c>
      <c r="G8" s="74">
        <f>ROUND(COS(RADIANS(SUBSTITUTE(SUBSTITUTE(SUBSTITUTE(E8,"°",":"),"′",":"),"″",)*24))*F8,3)</f>
        <v>-24.187000000000001</v>
      </c>
      <c r="H8" s="74">
        <f>ROUND(SIN(RADIANS(SUBSTITUTE(SUBSTITUTE(SUBSTITUTE(E8,"°",":"),"′",":"),"″",)*24))*F8,3)</f>
        <v>-7.6479999999999997</v>
      </c>
      <c r="I8" s="74">
        <f>ROUND(G17*(-1)*F8/F17+G8,3)</f>
        <v>-20.555</v>
      </c>
      <c r="J8" s="74">
        <f>ROUND($H$17*(-1)*F8/$F$17+H8,6)</f>
        <v>-8.4086689999999997</v>
      </c>
      <c r="K8" s="87"/>
      <c r="L8" s="87"/>
      <c r="M8" s="71"/>
    </row>
    <row r="9" spans="2:13" x14ac:dyDescent="0.4">
      <c r="B9" s="66" t="s">
        <v>20</v>
      </c>
      <c r="C9" s="75">
        <v>6.8207638888888882</v>
      </c>
      <c r="D9" s="77">
        <f>C9+($C$20-$C$17)/4</f>
        <v>6.0858506944444439</v>
      </c>
      <c r="E9" s="77"/>
      <c r="F9" s="80"/>
      <c r="G9" s="74"/>
      <c r="H9" s="74"/>
      <c r="I9" s="74"/>
      <c r="J9" s="74"/>
      <c r="K9" s="68">
        <f>K7+I8</f>
        <v>3640089.5839999998</v>
      </c>
      <c r="L9" s="68">
        <f>L7+J8</f>
        <v>540044.56333099992</v>
      </c>
      <c r="M9" s="70" t="str">
        <f t="shared" ref="M9" si="0">B9</f>
        <v>pt2</v>
      </c>
    </row>
    <row r="10" spans="2:13" x14ac:dyDescent="0.4">
      <c r="B10" s="67"/>
      <c r="C10" s="76"/>
      <c r="D10" s="77"/>
      <c r="E10" s="55">
        <f>IF(((E8-D9+C22)&lt;2*C22),E8-D9+C22,((E8-D9+C22)-2*C22))</f>
        <v>9.6453159419253254</v>
      </c>
      <c r="F10" s="78">
        <v>124.124</v>
      </c>
      <c r="G10" s="74">
        <f>ROUND(COS(RADIANS(SUBSTITUTE(SUBSTITUTE(SUBSTITUTE(E10,"°",":"),"′",":"),"″",)*24))*F10,3)</f>
        <v>-77.290000000000006</v>
      </c>
      <c r="H10" s="74">
        <f t="shared" ref="H10" si="1">ROUND(SIN(RADIANS(SUBSTITUTE(SUBSTITUTE(SUBSTITUTE(E10,"°",":"),"′",":"),"″",)*24))*F10,3)</f>
        <v>-97.123999999999995</v>
      </c>
      <c r="I10" s="72">
        <f>ROUND(G17*(-1)*F10/F17+G10,3)</f>
        <v>-59.52</v>
      </c>
      <c r="J10" s="74">
        <f>ROUND($H$17*(-1)*F10/$F$17+H10,6)</f>
        <v>-100.846051</v>
      </c>
      <c r="K10" s="69"/>
      <c r="L10" s="69"/>
      <c r="M10" s="71"/>
    </row>
    <row r="11" spans="2:13" x14ac:dyDescent="0.4">
      <c r="B11" s="66" t="s">
        <v>21</v>
      </c>
      <c r="C11" s="75">
        <v>3.6247916666666669</v>
      </c>
      <c r="D11" s="77">
        <f>C11+($C$20-$C$17)/4</f>
        <v>2.8898784722222226</v>
      </c>
      <c r="E11" s="56"/>
      <c r="F11" s="79"/>
      <c r="G11" s="74"/>
      <c r="H11" s="74"/>
      <c r="I11" s="73"/>
      <c r="J11" s="74"/>
      <c r="K11" s="68">
        <f>K9+I10</f>
        <v>3640030.0639999998</v>
      </c>
      <c r="L11" s="68">
        <f>L9+J10</f>
        <v>539943.71727999998</v>
      </c>
      <c r="M11" s="70" t="str">
        <f t="shared" ref="M11" si="2">B11</f>
        <v>pt3</v>
      </c>
    </row>
    <row r="12" spans="2:13" x14ac:dyDescent="0.4">
      <c r="B12" s="67"/>
      <c r="C12" s="76"/>
      <c r="D12" s="77"/>
      <c r="E12" s="55">
        <f>IF(((E10-D11+C22)&lt;2*C24),E10-D11+C22,((E10-D11+C22)-2*C22))</f>
        <v>14.255437469703104</v>
      </c>
      <c r="F12" s="78">
        <v>43.271000000000001</v>
      </c>
      <c r="G12" s="74">
        <f t="shared" ref="G12" si="3">ROUND(COS(RADIANS(SUBSTITUTE(SUBSTITUTE(SUBSTITUTE(E12,"°",":"),"′",":"),"″",)*24))*F12,3)</f>
        <v>41.183999999999997</v>
      </c>
      <c r="H12" s="74">
        <f t="shared" ref="H12" si="4">ROUND(SIN(RADIANS(SUBSTITUTE(SUBSTITUTE(SUBSTITUTE(E12,"°",":"),"′",":"),"″",)*24))*F12,3)</f>
        <v>-13.278</v>
      </c>
      <c r="I12" s="72">
        <f>ROUND(G17*(-1)*F12/F17+G12,3)</f>
        <v>47.378999999999998</v>
      </c>
      <c r="J12" s="74">
        <f>ROUND($H$17*(-1)*F12/$F$17+H12,6)</f>
        <v>-14.575548</v>
      </c>
      <c r="K12" s="69"/>
      <c r="L12" s="69"/>
      <c r="M12" s="71"/>
    </row>
    <row r="13" spans="2:13" x14ac:dyDescent="0.4">
      <c r="B13" s="66" t="s">
        <v>24</v>
      </c>
      <c r="C13" s="75">
        <v>4.0066666666666668</v>
      </c>
      <c r="D13" s="77">
        <f>C13+($C$20-$C$17)/4</f>
        <v>3.2717534722222226</v>
      </c>
      <c r="E13" s="56"/>
      <c r="F13" s="79"/>
      <c r="G13" s="74"/>
      <c r="H13" s="74"/>
      <c r="I13" s="73"/>
      <c r="J13" s="74"/>
      <c r="K13" s="68">
        <f>K11+I12</f>
        <v>3640077.443</v>
      </c>
      <c r="L13" s="68">
        <f>L11+J12</f>
        <v>539929.14173199993</v>
      </c>
      <c r="M13" s="70" t="str">
        <f t="shared" ref="M13" si="5">B13</f>
        <v>pt4</v>
      </c>
    </row>
    <row r="14" spans="2:13" x14ac:dyDescent="0.4">
      <c r="B14" s="67"/>
      <c r="C14" s="76"/>
      <c r="D14" s="77"/>
      <c r="E14" s="55">
        <f>IF(((E12-D13+C22)&lt;2*C22),E12-D13+C22,((E12-D13+C22)-2*C22))</f>
        <v>3.4836839974808811</v>
      </c>
      <c r="F14" s="78">
        <v>128.482</v>
      </c>
      <c r="G14" s="72">
        <f>ROUND(COS(RADIANS(SUBSTITUTE(SUBSTITUTE(SUBSTITUTE(E14,"°",":"),"′",":"),"″",)*24))*F14,3)</f>
        <v>14.303000000000001</v>
      </c>
      <c r="H14" s="72">
        <f t="shared" ref="H14" si="6">ROUND(SIN(RADIANS(SUBSTITUTE(SUBSTITUTE(SUBSTITUTE(E14,"°",":"),"′",":"),"″",)*24))*F14,3)</f>
        <v>127.68300000000001</v>
      </c>
      <c r="I14" s="72">
        <f>ROUND(G17*(-1)*F14/F17+G14,3)</f>
        <v>32.697000000000003</v>
      </c>
      <c r="J14" s="72">
        <f>ROUND($H$17*(-1)*F14/$F$17+H14,6)</f>
        <v>123.830268</v>
      </c>
      <c r="K14" s="69"/>
      <c r="L14" s="69"/>
      <c r="M14" s="71"/>
    </row>
    <row r="15" spans="2:13" x14ac:dyDescent="0.4">
      <c r="B15" s="66" t="str">
        <f>B7</f>
        <v>pt1</v>
      </c>
      <c r="C15" s="1"/>
      <c r="D15" s="1"/>
      <c r="E15" s="56"/>
      <c r="F15" s="79"/>
      <c r="G15" s="73"/>
      <c r="H15" s="73"/>
      <c r="I15" s="73"/>
      <c r="J15" s="73"/>
      <c r="K15" s="68">
        <f>K13+I14</f>
        <v>3640110.14</v>
      </c>
      <c r="L15" s="68">
        <f>L13+J14</f>
        <v>540052.97199999995</v>
      </c>
      <c r="M15" s="70" t="str">
        <f>M7</f>
        <v>pt1</v>
      </c>
    </row>
    <row r="16" spans="2:13" x14ac:dyDescent="0.4">
      <c r="B16" s="67"/>
      <c r="C16" s="1"/>
      <c r="D16" s="1"/>
      <c r="E16" s="1"/>
      <c r="F16" s="1"/>
      <c r="G16" s="42"/>
      <c r="H16" s="42"/>
      <c r="I16" s="42"/>
      <c r="J16" s="42"/>
      <c r="K16" s="69"/>
      <c r="L16" s="69"/>
      <c r="M16" s="71"/>
    </row>
    <row r="17" spans="1:13" ht="26.45" customHeight="1" thickBot="1" x14ac:dyDescent="0.45">
      <c r="B17" s="16" t="s">
        <v>8</v>
      </c>
      <c r="C17" s="33">
        <f>SUM(C7:C14)</f>
        <v>17.939652777777777</v>
      </c>
      <c r="D17" s="17">
        <f>SUM(D7:D14)</f>
        <v>15</v>
      </c>
      <c r="E17" s="18">
        <f>IF(((E14-D7+C22)&lt;2*C22),E14-D7+C22,((E14-D7+C22)-2*C22))</f>
        <v>8.2311666363697693</v>
      </c>
      <c r="F17" s="19">
        <f>SUM(F8:F15)</f>
        <v>321.24400000000003</v>
      </c>
      <c r="G17" s="43">
        <f>SUM(G8:G15)</f>
        <v>-45.990000000000009</v>
      </c>
      <c r="H17" s="43">
        <f>SUM(H8:H15)</f>
        <v>9.6330000000000098</v>
      </c>
      <c r="I17" s="20">
        <f>SUM(I8:I15)</f>
        <v>9.9999999999766942E-4</v>
      </c>
      <c r="J17" s="20">
        <f>SUM(J8:J15)</f>
        <v>0</v>
      </c>
      <c r="K17" s="21"/>
      <c r="L17" s="21"/>
      <c r="M17" s="22"/>
    </row>
    <row r="18" spans="1:13" ht="33.4" customHeight="1" thickBot="1" x14ac:dyDescent="0.45">
      <c r="B18" s="4"/>
      <c r="C18" s="3"/>
      <c r="D18" s="3"/>
      <c r="E18" s="8"/>
    </row>
    <row r="19" spans="1:13" ht="33.6" customHeight="1" x14ac:dyDescent="0.4">
      <c r="B19" s="57" t="s">
        <v>32</v>
      </c>
      <c r="C19" s="58"/>
      <c r="D19" s="5"/>
      <c r="E19" s="3"/>
    </row>
    <row r="20" spans="1:13" ht="18" customHeight="1" x14ac:dyDescent="0.4">
      <c r="B20" s="59" t="s">
        <v>17</v>
      </c>
      <c r="C20" s="60">
        <f>(COUNTA(C7:C14)-2)*C22</f>
        <v>15</v>
      </c>
      <c r="E20" s="61" t="s">
        <v>16</v>
      </c>
      <c r="F20" s="61"/>
      <c r="G20" s="61"/>
      <c r="H20" s="62" t="s">
        <v>37</v>
      </c>
      <c r="I20" s="62"/>
    </row>
    <row r="21" spans="1:13" ht="18" customHeight="1" x14ac:dyDescent="0.4">
      <c r="B21" s="59"/>
      <c r="C21" s="60"/>
      <c r="D21" s="5"/>
      <c r="E21" s="63" t="s">
        <v>15</v>
      </c>
      <c r="F21" s="63"/>
      <c r="G21" s="9">
        <f>SQRT(G17*G17+H17*H17)</f>
        <v>46.988028145475539</v>
      </c>
      <c r="H21" s="64" t="s">
        <v>38</v>
      </c>
      <c r="I21" s="64"/>
    </row>
    <row r="22" spans="1:13" ht="18" customHeight="1" x14ac:dyDescent="0.4">
      <c r="B22" s="41"/>
      <c r="C22" s="65">
        <v>7.5</v>
      </c>
      <c r="D22" s="5"/>
      <c r="E22" s="63" t="s">
        <v>19</v>
      </c>
      <c r="F22" s="63"/>
      <c r="G22" s="10">
        <f>SQRT(G17*G17+H17*H17)/F17</f>
        <v>0.146268967344061</v>
      </c>
      <c r="H22" s="64"/>
      <c r="I22" s="64"/>
    </row>
    <row r="23" spans="1:13" ht="18" customHeight="1" x14ac:dyDescent="0.4">
      <c r="B23" s="41"/>
      <c r="C23" s="60"/>
      <c r="D23" s="5"/>
      <c r="E23" s="63" t="s">
        <v>12</v>
      </c>
      <c r="F23" s="63"/>
      <c r="G23" s="32">
        <f>1/G22</f>
        <v>6.8367201748799609</v>
      </c>
      <c r="H23" s="64"/>
      <c r="I23" s="64"/>
    </row>
    <row r="24" spans="1:13" ht="25.15" customHeight="1" thickBot="1" x14ac:dyDescent="0.45">
      <c r="B24" s="23" t="s">
        <v>28</v>
      </c>
      <c r="C24" s="24">
        <v>9.2504861111111101</v>
      </c>
      <c r="D24" s="3"/>
      <c r="E24" s="2"/>
      <c r="J24" s="3"/>
      <c r="K24" s="3"/>
    </row>
    <row r="25" spans="1:13" x14ac:dyDescent="0.4">
      <c r="C25" s="3"/>
      <c r="D25" s="3"/>
      <c r="J25" s="3"/>
    </row>
    <row r="26" spans="1:13" ht="14.25" thickBot="1" x14ac:dyDescent="0.45"/>
    <row r="27" spans="1:13" ht="23.65" customHeight="1" thickBot="1" x14ac:dyDescent="0.45">
      <c r="A27" s="44" t="s">
        <v>31</v>
      </c>
      <c r="B27" s="45"/>
      <c r="C27" s="45"/>
      <c r="D27" s="46"/>
    </row>
    <row r="28" spans="1:13" ht="13.9" customHeight="1" x14ac:dyDescent="0.4">
      <c r="A28" s="47" t="s">
        <v>30</v>
      </c>
      <c r="B28" s="48"/>
      <c r="C28" s="25" t="s">
        <v>34</v>
      </c>
      <c r="D28" s="26">
        <v>540038.22900000005</v>
      </c>
    </row>
    <row r="29" spans="1:13" ht="14.25" thickBot="1" x14ac:dyDescent="0.45">
      <c r="A29" s="49"/>
      <c r="B29" s="50"/>
      <c r="C29" s="27" t="s">
        <v>33</v>
      </c>
      <c r="D29" s="15">
        <v>3640142.5440000002</v>
      </c>
    </row>
    <row r="30" spans="1:13" ht="13.9" customHeight="1" x14ac:dyDescent="0.4">
      <c r="A30" s="47" t="s">
        <v>22</v>
      </c>
      <c r="B30" s="48"/>
      <c r="C30" s="25" t="s">
        <v>35</v>
      </c>
      <c r="D30" s="28">
        <f>L7</f>
        <v>540052.97199999995</v>
      </c>
    </row>
    <row r="31" spans="1:13" ht="14.25" thickBot="1" x14ac:dyDescent="0.45">
      <c r="A31" s="49"/>
      <c r="B31" s="50"/>
      <c r="C31" s="27" t="s">
        <v>36</v>
      </c>
      <c r="D31" s="29">
        <f>K7</f>
        <v>3640110.139</v>
      </c>
    </row>
    <row r="32" spans="1:13" x14ac:dyDescent="0.4">
      <c r="A32" s="11"/>
      <c r="B32" s="12"/>
      <c r="C32" s="51" t="s">
        <v>29</v>
      </c>
      <c r="D32" s="53">
        <f>C24-ABS(ATAN((D30-D28)/(D31-D29)))/PI()*180/24</f>
        <v>8.2311666363697693</v>
      </c>
      <c r="E32" s="3"/>
      <c r="G32" s="3"/>
    </row>
    <row r="33" spans="1:4" ht="9.4" customHeight="1" thickBot="1" x14ac:dyDescent="0.45">
      <c r="A33" s="13"/>
      <c r="B33" s="14"/>
      <c r="C33" s="52"/>
      <c r="D33" s="54"/>
    </row>
    <row r="34" spans="1:4" x14ac:dyDescent="0.4">
      <c r="D34" s="3"/>
    </row>
  </sheetData>
  <mergeCells count="76">
    <mergeCell ref="B1:B3"/>
    <mergeCell ref="C1:C3"/>
    <mergeCell ref="B5:B6"/>
    <mergeCell ref="F5:F6"/>
    <mergeCell ref="G5:H5"/>
    <mergeCell ref="M5:M6"/>
    <mergeCell ref="B7:B8"/>
    <mergeCell ref="C7:C8"/>
    <mergeCell ref="D7:D8"/>
    <mergeCell ref="K7:K8"/>
    <mergeCell ref="L7:L8"/>
    <mergeCell ref="M7:M8"/>
    <mergeCell ref="E8:E9"/>
    <mergeCell ref="I5:J5"/>
    <mergeCell ref="B9:B10"/>
    <mergeCell ref="C9:C10"/>
    <mergeCell ref="D9:D10"/>
    <mergeCell ref="K5:K6"/>
    <mergeCell ref="L5:L6"/>
    <mergeCell ref="K9:K10"/>
    <mergeCell ref="L9:L10"/>
    <mergeCell ref="M9:M10"/>
    <mergeCell ref="E10:E11"/>
    <mergeCell ref="F10:F11"/>
    <mergeCell ref="G10:G11"/>
    <mergeCell ref="H10:H11"/>
    <mergeCell ref="I10:I11"/>
    <mergeCell ref="J10:J11"/>
    <mergeCell ref="F8:F9"/>
    <mergeCell ref="G8:G9"/>
    <mergeCell ref="H8:H9"/>
    <mergeCell ref="I8:I9"/>
    <mergeCell ref="J8:J9"/>
    <mergeCell ref="B11:B12"/>
    <mergeCell ref="C11:C12"/>
    <mergeCell ref="D11:D12"/>
    <mergeCell ref="K11:K12"/>
    <mergeCell ref="L11:L12"/>
    <mergeCell ref="E12:E13"/>
    <mergeCell ref="F12:F13"/>
    <mergeCell ref="G12:G13"/>
    <mergeCell ref="H12:H13"/>
    <mergeCell ref="K15:K16"/>
    <mergeCell ref="L15:L16"/>
    <mergeCell ref="M15:M16"/>
    <mergeCell ref="G14:G15"/>
    <mergeCell ref="H14:H15"/>
    <mergeCell ref="I14:I15"/>
    <mergeCell ref="J14:J15"/>
    <mergeCell ref="L13:L14"/>
    <mergeCell ref="M13:M14"/>
    <mergeCell ref="I12:I13"/>
    <mergeCell ref="J12:J13"/>
    <mergeCell ref="K13:K14"/>
    <mergeCell ref="M11:M12"/>
    <mergeCell ref="H20:I20"/>
    <mergeCell ref="E21:F21"/>
    <mergeCell ref="H21:I23"/>
    <mergeCell ref="C22:C23"/>
    <mergeCell ref="E22:F22"/>
    <mergeCell ref="E23:F23"/>
    <mergeCell ref="E14:E15"/>
    <mergeCell ref="B19:C19"/>
    <mergeCell ref="B20:B21"/>
    <mergeCell ref="C20:C21"/>
    <mergeCell ref="E20:G20"/>
    <mergeCell ref="B15:B16"/>
    <mergeCell ref="B13:B14"/>
    <mergeCell ref="C13:C14"/>
    <mergeCell ref="D13:D14"/>
    <mergeCell ref="F14:F15"/>
    <mergeCell ref="A27:D27"/>
    <mergeCell ref="A28:B29"/>
    <mergeCell ref="A30:B31"/>
    <mergeCell ref="C32:C33"/>
    <mergeCell ref="D32:D33"/>
  </mergeCells>
  <phoneticPr fontId="1" type="noConversion"/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6"/>
  <sheetViews>
    <sheetView tabSelected="1" zoomScale="85" zoomScaleNormal="85" workbookViewId="0">
      <selection activeCell="H33" sqref="H33"/>
    </sheetView>
  </sheetViews>
  <sheetFormatPr defaultRowHeight="13.9" x14ac:dyDescent="0.4"/>
  <cols>
    <col min="1" max="1" width="10.59765625" customWidth="1"/>
    <col min="2" max="2" width="16.86328125" customWidth="1"/>
    <col min="3" max="3" width="22.1328125" customWidth="1"/>
    <col min="4" max="4" width="16.796875" customWidth="1"/>
    <col min="5" max="5" width="16.73046875" customWidth="1"/>
    <col min="6" max="6" width="16.19921875" customWidth="1"/>
    <col min="7" max="7" width="17.796875" customWidth="1"/>
    <col min="8" max="8" width="15.19921875" customWidth="1"/>
    <col min="9" max="9" width="14.19921875" customWidth="1"/>
    <col min="10" max="10" width="15" customWidth="1"/>
    <col min="11" max="11" width="13" customWidth="1"/>
    <col min="12" max="12" width="12.86328125" customWidth="1"/>
    <col min="13" max="13" width="13" customWidth="1"/>
    <col min="14" max="14" width="10.86328125" bestFit="1" customWidth="1"/>
  </cols>
  <sheetData>
    <row r="1" spans="2:13" ht="31.5" customHeight="1" x14ac:dyDescent="0.4">
      <c r="B1" s="88" t="s">
        <v>43</v>
      </c>
      <c r="C1" s="91" t="s">
        <v>18</v>
      </c>
      <c r="D1" s="34"/>
      <c r="E1" s="34"/>
      <c r="F1" s="34"/>
      <c r="G1" s="35"/>
    </row>
    <row r="2" spans="2:13" ht="20.65" customHeight="1" x14ac:dyDescent="0.4">
      <c r="B2" s="89"/>
      <c r="C2" s="92"/>
      <c r="D2" s="7"/>
      <c r="E2" s="10"/>
      <c r="F2" s="31"/>
      <c r="G2" s="36"/>
    </row>
    <row r="3" spans="2:13" ht="44.65" customHeight="1" thickBot="1" x14ac:dyDescent="0.45">
      <c r="B3" s="90"/>
      <c r="C3" s="93"/>
      <c r="D3" s="37" t="s">
        <v>40</v>
      </c>
      <c r="E3" s="37" t="s">
        <v>39</v>
      </c>
      <c r="F3" s="37" t="s">
        <v>41</v>
      </c>
      <c r="G3" s="38" t="s">
        <v>42</v>
      </c>
    </row>
    <row r="4" spans="2:13" ht="28.5" customHeight="1" thickBot="1" x14ac:dyDescent="0.45"/>
    <row r="5" spans="2:13" x14ac:dyDescent="0.4">
      <c r="B5" s="94" t="s">
        <v>0</v>
      </c>
      <c r="C5" s="39" t="s">
        <v>9</v>
      </c>
      <c r="D5" s="39" t="s">
        <v>1</v>
      </c>
      <c r="E5" s="39" t="s">
        <v>2</v>
      </c>
      <c r="F5" s="81" t="s">
        <v>3</v>
      </c>
      <c r="G5" s="81" t="s">
        <v>4</v>
      </c>
      <c r="H5" s="81"/>
      <c r="I5" s="81" t="s">
        <v>7</v>
      </c>
      <c r="J5" s="81"/>
      <c r="K5" s="81" t="s">
        <v>26</v>
      </c>
      <c r="L5" s="81" t="s">
        <v>27</v>
      </c>
      <c r="M5" s="83" t="s">
        <v>0</v>
      </c>
    </row>
    <row r="6" spans="2:13" x14ac:dyDescent="0.4">
      <c r="B6" s="59"/>
      <c r="C6" s="40" t="s">
        <v>11</v>
      </c>
      <c r="D6" s="40" t="s">
        <v>13</v>
      </c>
      <c r="E6" s="40" t="s">
        <v>10</v>
      </c>
      <c r="F6" s="82"/>
      <c r="G6" s="40" t="s">
        <v>5</v>
      </c>
      <c r="H6" s="40" t="s">
        <v>6</v>
      </c>
      <c r="I6" s="40" t="s">
        <v>5</v>
      </c>
      <c r="J6" s="40" t="s">
        <v>6</v>
      </c>
      <c r="K6" s="82"/>
      <c r="L6" s="82"/>
      <c r="M6" s="84"/>
    </row>
    <row r="7" spans="2:13" x14ac:dyDescent="0.4">
      <c r="B7" s="66" t="s">
        <v>23</v>
      </c>
      <c r="C7" s="85">
        <v>2.820960648148148</v>
      </c>
      <c r="D7" s="77">
        <f>C7+($C$22-$C$19)/5</f>
        <v>2.8209189814814812</v>
      </c>
      <c r="E7" s="1"/>
      <c r="F7" s="1"/>
      <c r="G7" s="6"/>
      <c r="H7" s="6"/>
      <c r="I7" s="6"/>
      <c r="J7" s="6"/>
      <c r="K7" s="86">
        <v>3640110.139</v>
      </c>
      <c r="L7" s="86">
        <v>540052.97199999995</v>
      </c>
      <c r="M7" s="70" t="str">
        <f>B7</f>
        <v>pt1</v>
      </c>
    </row>
    <row r="8" spans="2:13" x14ac:dyDescent="0.4">
      <c r="B8" s="67"/>
      <c r="C8" s="85"/>
      <c r="D8" s="77"/>
      <c r="E8" s="77">
        <f>D34</f>
        <v>8.2311666363697693</v>
      </c>
      <c r="F8" s="80">
        <v>38.923000000000002</v>
      </c>
      <c r="G8" s="62">
        <f>ROUND(COS(RADIANS(SUBSTITUTE(SUBSTITUTE(SUBSTITUTE(E8,"°",":"),"′",":"),"″",)*24))*F8,3)</f>
        <v>-37.112000000000002</v>
      </c>
      <c r="H8" s="62">
        <f>ROUND(SIN(RADIANS(SUBSTITUTE(SUBSTITUTE(SUBSTITUTE(E8,"°",":"),"′",":"),"″",)*24))*F8,3)</f>
        <v>-11.734999999999999</v>
      </c>
      <c r="I8" s="62">
        <f>ROUND(G19*(-1)*F8/F19+G8,3)</f>
        <v>-37.106000000000002</v>
      </c>
      <c r="J8" s="74">
        <f>ROUND($H$19*(-1)*F8/$F$19+H8,6)</f>
        <v>-11.738357000000001</v>
      </c>
      <c r="K8" s="87"/>
      <c r="L8" s="87"/>
      <c r="M8" s="71"/>
    </row>
    <row r="9" spans="2:13" x14ac:dyDescent="0.4">
      <c r="B9" s="66" t="s">
        <v>20</v>
      </c>
      <c r="C9" s="75">
        <v>4.6979282407407403</v>
      </c>
      <c r="D9" s="77">
        <f t="shared" ref="D9" si="0">C9+($C$22-$C$19)/5</f>
        <v>4.6978865740740741</v>
      </c>
      <c r="E9" s="77"/>
      <c r="F9" s="80"/>
      <c r="G9" s="62"/>
      <c r="H9" s="62"/>
      <c r="I9" s="62"/>
      <c r="J9" s="74"/>
      <c r="K9" s="68">
        <f>K7+I8</f>
        <v>3640073.0329999998</v>
      </c>
      <c r="L9" s="68">
        <f>L7+J8</f>
        <v>540041.2336429999</v>
      </c>
      <c r="M9" s="70" t="str">
        <f t="shared" ref="M9" si="1">B9</f>
        <v>pt2</v>
      </c>
    </row>
    <row r="10" spans="2:13" x14ac:dyDescent="0.4">
      <c r="B10" s="67"/>
      <c r="C10" s="76"/>
      <c r="D10" s="77"/>
      <c r="E10" s="55">
        <f>IF(((E8-D9+C24)&lt;2*C24),E8-D9+C24,((E8-D9+C24)-2*C24))</f>
        <v>11.033280062295695</v>
      </c>
      <c r="F10" s="78">
        <v>127.59099999999999</v>
      </c>
      <c r="G10" s="62">
        <f t="shared" ref="G10" si="2">ROUND(COS(RADIANS(SUBSTITUTE(SUBSTITUTE(SUBSTITUTE(E10,"°",":"),"′",":"),"″",)*24))*F10,3)</f>
        <v>-11.567</v>
      </c>
      <c r="H10" s="62">
        <f t="shared" ref="H10" si="3">ROUND(SIN(RADIANS(SUBSTITUTE(SUBSTITUTE(SUBSTITUTE(E10,"°",":"),"′",":"),"″",)*24))*F10,3)</f>
        <v>-127.066</v>
      </c>
      <c r="I10" s="95">
        <f>ROUND(G19*(-1)*F10/F19+G10,3)</f>
        <v>-11.547000000000001</v>
      </c>
      <c r="J10" s="74">
        <f>ROUND($H$19*(-1)*F10/$F$19+H10,6)</f>
        <v>-127.077003</v>
      </c>
      <c r="K10" s="69"/>
      <c r="L10" s="69"/>
      <c r="M10" s="71"/>
    </row>
    <row r="11" spans="2:13" x14ac:dyDescent="0.4">
      <c r="B11" s="66" t="s">
        <v>21</v>
      </c>
      <c r="C11" s="75">
        <v>3.96681712962963</v>
      </c>
      <c r="D11" s="77">
        <f t="shared" ref="D11" si="4">C11+($C$22-$C$19)/5</f>
        <v>3.9667754629629632</v>
      </c>
      <c r="E11" s="56"/>
      <c r="F11" s="79"/>
      <c r="G11" s="62"/>
      <c r="H11" s="62"/>
      <c r="I11" s="96"/>
      <c r="J11" s="74"/>
      <c r="K11" s="68">
        <f>K9+I10</f>
        <v>3640061.486</v>
      </c>
      <c r="L11" s="68">
        <f>L9+J10</f>
        <v>539914.15663999994</v>
      </c>
      <c r="M11" s="70" t="str">
        <f t="shared" ref="M11" si="5">B11</f>
        <v>pt3</v>
      </c>
    </row>
    <row r="12" spans="2:13" x14ac:dyDescent="0.4">
      <c r="B12" s="67"/>
      <c r="C12" s="76"/>
      <c r="D12" s="77"/>
      <c r="E12" s="55">
        <f>IF(((E10-D11+C24)&lt;2*C26),E10-D11+C24,((E10-D11+C24)-2*C24))</f>
        <v>14.566504599332731</v>
      </c>
      <c r="F12" s="78">
        <v>45.645000000000003</v>
      </c>
      <c r="G12" s="62">
        <f t="shared" ref="G12" si="6">ROUND(COS(RADIANS(SUBSTITUTE(SUBSTITUTE(SUBSTITUTE(E12,"°",":"),"′",":"),"″",)*24))*F12,3)</f>
        <v>44.895000000000003</v>
      </c>
      <c r="H12" s="62">
        <f t="shared" ref="H12" si="7">ROUND(SIN(RADIANS(SUBSTITUTE(SUBSTITUTE(SUBSTITUTE(E12,"°",":"),"′",":"),"″",)*24))*F12,3)</f>
        <v>-8.2430000000000003</v>
      </c>
      <c r="I12" s="95">
        <f>ROUND(G19*(-1)*F12/F19+G12,3)</f>
        <v>44.902000000000001</v>
      </c>
      <c r="J12" s="74">
        <f>ROUND($H$19*(-1)*F12/$F$19+H12,6)</f>
        <v>-8.2469359999999998</v>
      </c>
      <c r="K12" s="69"/>
      <c r="L12" s="69"/>
      <c r="M12" s="71"/>
    </row>
    <row r="13" spans="2:13" x14ac:dyDescent="0.4">
      <c r="B13" s="66" t="s">
        <v>24</v>
      </c>
      <c r="C13" s="75">
        <v>3.2670370370370372</v>
      </c>
      <c r="D13" s="77">
        <f t="shared" ref="D13" si="8">C13+($C$22-$C$19)/5</f>
        <v>3.2669953703703705</v>
      </c>
      <c r="E13" s="56"/>
      <c r="F13" s="79"/>
      <c r="G13" s="62"/>
      <c r="H13" s="62"/>
      <c r="I13" s="96"/>
      <c r="J13" s="74"/>
      <c r="K13" s="68">
        <f>K11+I12</f>
        <v>3640106.3879999998</v>
      </c>
      <c r="L13" s="68">
        <f>L11+J12</f>
        <v>539905.90970399999</v>
      </c>
      <c r="M13" s="70" t="str">
        <f t="shared" ref="M13" si="9">B13</f>
        <v>pt4</v>
      </c>
    </row>
    <row r="14" spans="2:13" x14ac:dyDescent="0.4">
      <c r="B14" s="67"/>
      <c r="C14" s="76"/>
      <c r="D14" s="77"/>
      <c r="E14" s="55">
        <f>IF(((E12-D13+C24)&lt;2*C24),E12-D13+C24,((E12-D13+C24)-2*C24))</f>
        <v>3.7995092289623607</v>
      </c>
      <c r="F14" s="78">
        <v>81.820999999999998</v>
      </c>
      <c r="G14" s="74">
        <f>ROUND(COS(RADIANS(SUBSTITUTE(SUBSTITUTE(SUBSTITUTE(E14,"°",":"),"′",":"),"″",)*24))*F14,3)</f>
        <v>-1.6970000000000001</v>
      </c>
      <c r="H14" s="62">
        <f t="shared" ref="H14:H16" si="10">ROUND(SIN(RADIANS(SUBSTITUTE(SUBSTITUTE(SUBSTITUTE(E14,"°",":"),"′",":"),"″",)*24))*F14,3)</f>
        <v>81.802999999999997</v>
      </c>
      <c r="I14" s="95">
        <f>ROUND(G19*(-1)*F14/F19+G14,3)</f>
        <v>-1.6839999999999999</v>
      </c>
      <c r="J14" s="74">
        <f>ROUND($H$19*(-1)*F14/$F$19+H14,6)</f>
        <v>81.795944000000006</v>
      </c>
      <c r="K14" s="69"/>
      <c r="L14" s="69"/>
      <c r="M14" s="71"/>
    </row>
    <row r="15" spans="2:13" x14ac:dyDescent="0.4">
      <c r="B15" s="66" t="s">
        <v>25</v>
      </c>
      <c r="C15" s="75">
        <v>7.7474652777777777</v>
      </c>
      <c r="D15" s="77">
        <f t="shared" ref="D15" si="11">C15+($C$22-$C$19)/5</f>
        <v>7.7474236111111114</v>
      </c>
      <c r="E15" s="56"/>
      <c r="F15" s="79"/>
      <c r="G15" s="74"/>
      <c r="H15" s="62"/>
      <c r="I15" s="96"/>
      <c r="J15" s="74"/>
      <c r="K15" s="68">
        <f>K13+I14</f>
        <v>3640104.7039999999</v>
      </c>
      <c r="L15" s="68">
        <f>L13+J14</f>
        <v>539987.705648</v>
      </c>
      <c r="M15" s="70" t="str">
        <f t="shared" ref="M15" si="12">B15</f>
        <v>pt5</v>
      </c>
    </row>
    <row r="16" spans="2:13" x14ac:dyDescent="0.4">
      <c r="B16" s="67"/>
      <c r="C16" s="76"/>
      <c r="D16" s="77"/>
      <c r="E16" s="55">
        <f>IF(((E14-D15+C28)&lt;2*C24),E14-D15+C24,((E14-D15+C24)-2*C24))</f>
        <v>3.5520856178512492</v>
      </c>
      <c r="F16" s="78">
        <v>65.497</v>
      </c>
      <c r="G16" s="95">
        <f>ROUND(COS(RADIANS(SUBSTITUTE(SUBSTITUTE(SUBSTITUTE(E16,"°",":"),"′",":"),"″",)*24))*F16,3)</f>
        <v>5.4240000000000004</v>
      </c>
      <c r="H16" s="95">
        <f t="shared" si="10"/>
        <v>65.272000000000006</v>
      </c>
      <c r="I16" s="95">
        <f>ROUND(G19*(-1)*F16/F19+G16,3)</f>
        <v>5.4340000000000002</v>
      </c>
      <c r="J16" s="72">
        <f>ROUND($H$19*(-1)*F16/$F$19+H16,6)</f>
        <v>65.266351999999998</v>
      </c>
      <c r="K16" s="69"/>
      <c r="L16" s="69"/>
      <c r="M16" s="71"/>
    </row>
    <row r="17" spans="1:13" x14ac:dyDescent="0.4">
      <c r="B17" s="66" t="str">
        <f>B7</f>
        <v>pt1</v>
      </c>
      <c r="C17" s="1"/>
      <c r="D17" s="1"/>
      <c r="E17" s="56"/>
      <c r="F17" s="79"/>
      <c r="G17" s="96"/>
      <c r="H17" s="96"/>
      <c r="I17" s="96"/>
      <c r="J17" s="73"/>
      <c r="K17" s="97">
        <f>K15+I16</f>
        <v>3640110.1379999998</v>
      </c>
      <c r="L17" s="97">
        <f>L15+J16</f>
        <v>540052.97199999995</v>
      </c>
      <c r="M17" s="70" t="str">
        <f>M7</f>
        <v>pt1</v>
      </c>
    </row>
    <row r="18" spans="1:13" x14ac:dyDescent="0.4">
      <c r="B18" s="67"/>
      <c r="C18" s="1"/>
      <c r="D18" s="1"/>
      <c r="E18" s="1"/>
      <c r="F18" s="1"/>
      <c r="G18" s="6"/>
      <c r="H18" s="6"/>
      <c r="I18" s="6"/>
      <c r="J18" s="6"/>
      <c r="K18" s="98"/>
      <c r="L18" s="98"/>
      <c r="M18" s="71"/>
    </row>
    <row r="19" spans="1:13" ht="26.45" customHeight="1" thickBot="1" x14ac:dyDescent="0.45">
      <c r="B19" s="16" t="s">
        <v>8</v>
      </c>
      <c r="C19" s="33">
        <f>SUM(C7:C16)</f>
        <v>22.500208333333333</v>
      </c>
      <c r="D19" s="17">
        <f>SUM(D7:D15)</f>
        <v>22.5</v>
      </c>
      <c r="E19" s="18">
        <f>IF(((E16-D7+C28)&lt;2*C24),E16-D7+C24,((E16-D7+C24)-2*C24))</f>
        <v>8.2311666363697675</v>
      </c>
      <c r="F19" s="19">
        <f>SUM(F8:F17)</f>
        <v>359.47700000000003</v>
      </c>
      <c r="G19" s="19">
        <f>SUM(G8:G17)</f>
        <v>-5.6999999999998607E-2</v>
      </c>
      <c r="H19" s="19">
        <f>SUM(H8:H17)</f>
        <v>3.1000000000020123E-2</v>
      </c>
      <c r="I19" s="20">
        <f>SUM(I8:I17)</f>
        <v>-1.0000000000047748E-3</v>
      </c>
      <c r="J19" s="20">
        <f>SUM(J8:J17)</f>
        <v>0</v>
      </c>
      <c r="K19" s="21"/>
      <c r="L19" s="21"/>
      <c r="M19" s="22"/>
    </row>
    <row r="20" spans="1:13" ht="33.4" customHeight="1" thickBot="1" x14ac:dyDescent="0.45">
      <c r="B20" s="4"/>
      <c r="C20" s="3"/>
      <c r="D20" s="3"/>
      <c r="E20" s="8"/>
    </row>
    <row r="21" spans="1:13" ht="33.6" customHeight="1" x14ac:dyDescent="0.4">
      <c r="B21" s="57" t="s">
        <v>32</v>
      </c>
      <c r="C21" s="58"/>
      <c r="D21" s="5"/>
      <c r="E21" s="3"/>
    </row>
    <row r="22" spans="1:13" ht="18" customHeight="1" x14ac:dyDescent="0.4">
      <c r="B22" s="99" t="s">
        <v>17</v>
      </c>
      <c r="C22" s="100">
        <f>(COUNTA(C7:C16)-2)*C24</f>
        <v>22.5</v>
      </c>
      <c r="E22" s="61" t="s">
        <v>16</v>
      </c>
      <c r="F22" s="61"/>
      <c r="G22" s="61"/>
      <c r="H22" s="62" t="s">
        <v>37</v>
      </c>
      <c r="I22" s="62"/>
    </row>
    <row r="23" spans="1:13" ht="18" customHeight="1" x14ac:dyDescent="0.4">
      <c r="B23" s="99"/>
      <c r="C23" s="100"/>
      <c r="D23" s="5"/>
      <c r="E23" s="63" t="s">
        <v>15</v>
      </c>
      <c r="F23" s="63"/>
      <c r="G23" s="9">
        <f>SQRT(G19*G19+H19*H19)</f>
        <v>6.4884512790041732E-2</v>
      </c>
      <c r="H23" s="64" t="s">
        <v>38</v>
      </c>
      <c r="I23" s="64"/>
    </row>
    <row r="24" spans="1:13" ht="18" customHeight="1" x14ac:dyDescent="0.4">
      <c r="B24" s="30"/>
      <c r="C24" s="101">
        <v>7.5</v>
      </c>
      <c r="D24" s="5"/>
      <c r="E24" s="63" t="s">
        <v>19</v>
      </c>
      <c r="F24" s="63"/>
      <c r="G24" s="10">
        <f>SQRT(G19*G19+H19*H19)/F19</f>
        <v>1.8049697975125453E-4</v>
      </c>
      <c r="H24" s="64"/>
      <c r="I24" s="64"/>
    </row>
    <row r="25" spans="1:13" ht="18" customHeight="1" x14ac:dyDescent="0.4">
      <c r="B25" s="30"/>
      <c r="C25" s="100"/>
      <c r="D25" s="5"/>
      <c r="E25" s="63" t="s">
        <v>14</v>
      </c>
      <c r="F25" s="63"/>
      <c r="G25" s="32">
        <f>1/G24</f>
        <v>5540.2589083657485</v>
      </c>
      <c r="H25" s="64"/>
      <c r="I25" s="64"/>
    </row>
    <row r="26" spans="1:13" ht="25.15" customHeight="1" thickBot="1" x14ac:dyDescent="0.45">
      <c r="B26" s="23" t="s">
        <v>28</v>
      </c>
      <c r="C26" s="24">
        <v>9.2504861111111101</v>
      </c>
      <c r="D26" s="3"/>
      <c r="E26" s="2"/>
      <c r="J26" s="3"/>
      <c r="K26" s="3"/>
    </row>
    <row r="27" spans="1:13" x14ac:dyDescent="0.4">
      <c r="C27" s="3"/>
      <c r="D27" s="3"/>
      <c r="J27" s="3"/>
    </row>
    <row r="28" spans="1:13" ht="14.25" thickBot="1" x14ac:dyDescent="0.45"/>
    <row r="29" spans="1:13" ht="23.65" customHeight="1" thickBot="1" x14ac:dyDescent="0.45">
      <c r="A29" s="44" t="s">
        <v>31</v>
      </c>
      <c r="B29" s="45"/>
      <c r="C29" s="45"/>
      <c r="D29" s="46"/>
    </row>
    <row r="30" spans="1:13" ht="13.9" customHeight="1" x14ac:dyDescent="0.4">
      <c r="A30" s="47" t="s">
        <v>30</v>
      </c>
      <c r="B30" s="48"/>
      <c r="C30" s="25" t="s">
        <v>34</v>
      </c>
      <c r="D30" s="26">
        <v>540038.22900000005</v>
      </c>
    </row>
    <row r="31" spans="1:13" ht="14.25" thickBot="1" x14ac:dyDescent="0.45">
      <c r="A31" s="49"/>
      <c r="B31" s="50"/>
      <c r="C31" s="27" t="s">
        <v>33</v>
      </c>
      <c r="D31" s="15">
        <v>3640142.5440000002</v>
      </c>
    </row>
    <row r="32" spans="1:13" ht="13.9" customHeight="1" x14ac:dyDescent="0.4">
      <c r="A32" s="47" t="s">
        <v>22</v>
      </c>
      <c r="B32" s="48"/>
      <c r="C32" s="25" t="s">
        <v>35</v>
      </c>
      <c r="D32" s="28">
        <f>L7</f>
        <v>540052.97199999995</v>
      </c>
    </row>
    <row r="33" spans="1:7" ht="14.25" thickBot="1" x14ac:dyDescent="0.45">
      <c r="A33" s="49"/>
      <c r="B33" s="50"/>
      <c r="C33" s="27" t="s">
        <v>36</v>
      </c>
      <c r="D33" s="29">
        <f>K7</f>
        <v>3640110.139</v>
      </c>
    </row>
    <row r="34" spans="1:7" x14ac:dyDescent="0.4">
      <c r="A34" s="11"/>
      <c r="B34" s="12"/>
      <c r="C34" s="51" t="s">
        <v>29</v>
      </c>
      <c r="D34" s="53">
        <f>C26-ABS(ATAN((D32-D30)/(D33-D31)))/PI()*180/24</f>
        <v>8.2311666363697693</v>
      </c>
      <c r="E34" s="3"/>
      <c r="G34" s="3"/>
    </row>
    <row r="35" spans="1:7" ht="9.4" customHeight="1" thickBot="1" x14ac:dyDescent="0.45">
      <c r="A35" s="13"/>
      <c r="B35" s="14"/>
      <c r="C35" s="52"/>
      <c r="D35" s="54"/>
    </row>
    <row r="36" spans="1:7" x14ac:dyDescent="0.4">
      <c r="D36" s="3"/>
    </row>
  </sheetData>
  <mergeCells count="88">
    <mergeCell ref="A30:B31"/>
    <mergeCell ref="A32:B33"/>
    <mergeCell ref="A29:D29"/>
    <mergeCell ref="C24:C25"/>
    <mergeCell ref="E23:F23"/>
    <mergeCell ref="E24:F24"/>
    <mergeCell ref="E25:F25"/>
    <mergeCell ref="E22:G22"/>
    <mergeCell ref="M17:M18"/>
    <mergeCell ref="B15:B16"/>
    <mergeCell ref="C15:C16"/>
    <mergeCell ref="D15:D16"/>
    <mergeCell ref="K15:K16"/>
    <mergeCell ref="L15:L16"/>
    <mergeCell ref="M15:M16"/>
    <mergeCell ref="E16:E17"/>
    <mergeCell ref="F16:F17"/>
    <mergeCell ref="G16:G17"/>
    <mergeCell ref="H16:H17"/>
    <mergeCell ref="I16:I17"/>
    <mergeCell ref="J16:J17"/>
    <mergeCell ref="B17:B18"/>
    <mergeCell ref="K17:K18"/>
    <mergeCell ref="L17:L18"/>
    <mergeCell ref="M13:M14"/>
    <mergeCell ref="E14:E15"/>
    <mergeCell ref="F14:F15"/>
    <mergeCell ref="G14:G15"/>
    <mergeCell ref="H14:H15"/>
    <mergeCell ref="I14:I15"/>
    <mergeCell ref="J14:J15"/>
    <mergeCell ref="I12:I13"/>
    <mergeCell ref="J12:J13"/>
    <mergeCell ref="L11:L12"/>
    <mergeCell ref="M11:M12"/>
    <mergeCell ref="E12:E13"/>
    <mergeCell ref="F12:F13"/>
    <mergeCell ref="G12:G13"/>
    <mergeCell ref="H12:H13"/>
    <mergeCell ref="L13:L14"/>
    <mergeCell ref="M5:M6"/>
    <mergeCell ref="B7:B8"/>
    <mergeCell ref="C7:C8"/>
    <mergeCell ref="D7:D8"/>
    <mergeCell ref="K7:K8"/>
    <mergeCell ref="L7:L8"/>
    <mergeCell ref="M7:M8"/>
    <mergeCell ref="E8:E9"/>
    <mergeCell ref="F8:F9"/>
    <mergeCell ref="G8:G9"/>
    <mergeCell ref="B5:B6"/>
    <mergeCell ref="F5:F6"/>
    <mergeCell ref="G5:H5"/>
    <mergeCell ref="K9:K10"/>
    <mergeCell ref="L9:L10"/>
    <mergeCell ref="M9:M10"/>
    <mergeCell ref="E10:E11"/>
    <mergeCell ref="F10:F11"/>
    <mergeCell ref="G10:G11"/>
    <mergeCell ref="H10:H11"/>
    <mergeCell ref="I10:I11"/>
    <mergeCell ref="H22:I22"/>
    <mergeCell ref="H23:I25"/>
    <mergeCell ref="I5:J5"/>
    <mergeCell ref="K5:K6"/>
    <mergeCell ref="L5:L6"/>
    <mergeCell ref="J10:J11"/>
    <mergeCell ref="H8:H9"/>
    <mergeCell ref="I8:I9"/>
    <mergeCell ref="J8:J9"/>
    <mergeCell ref="K13:K14"/>
    <mergeCell ref="K11:K12"/>
    <mergeCell ref="B1:B3"/>
    <mergeCell ref="C1:C3"/>
    <mergeCell ref="C34:C35"/>
    <mergeCell ref="D34:D35"/>
    <mergeCell ref="B21:C21"/>
    <mergeCell ref="B9:B10"/>
    <mergeCell ref="C9:C10"/>
    <mergeCell ref="D9:D10"/>
    <mergeCell ref="B13:B14"/>
    <mergeCell ref="C13:C14"/>
    <mergeCell ref="D13:D14"/>
    <mergeCell ref="B11:B12"/>
    <mergeCell ref="C11:C12"/>
    <mergeCell ref="D11:D12"/>
    <mergeCell ref="B22:B23"/>
    <mergeCell ref="C22:C23"/>
  </mergeCells>
  <phoneticPr fontId="1" type="noConversion"/>
  <pageMargins left="0.7" right="0.7" top="0.75" bottom="0.75" header="0.3" footer="0.3"/>
  <pageSetup paperSize="9" orientation="portrait" verticalDpi="1200" r:id="rId1"/>
  <ignoredErrors>
    <ignoredError sqref="E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4边形 </vt:lpstr>
      <vt:lpstr>5边形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2023-05-03T04:31:16Z</dcterms:modified>
</cp:coreProperties>
</file>